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8\18 03 05 729 р УК Архангельск 1 конкурс\Внесение изменений\Лот 5 Северный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лот1!$A$1:$W$54</definedName>
  </definedNames>
  <calcPr calcId="152511"/>
</workbook>
</file>

<file path=xl/calcChain.xml><?xml version="1.0" encoding="utf-8"?>
<calcChain xmlns="http://schemas.openxmlformats.org/spreadsheetml/2006/main">
  <c r="V35" i="3" l="1"/>
  <c r="V34" i="3"/>
  <c r="U34" i="3"/>
  <c r="T35" i="3"/>
  <c r="T34" i="3"/>
  <c r="S32" i="3"/>
  <c r="R32" i="3"/>
  <c r="S18" i="3"/>
  <c r="S17" i="3"/>
  <c r="S15" i="3"/>
  <c r="S21" i="3"/>
  <c r="R18" i="3"/>
  <c r="R17" i="3"/>
  <c r="R15" i="3"/>
  <c r="P32" i="3"/>
  <c r="O32" i="3"/>
  <c r="P21" i="3"/>
  <c r="P18" i="3"/>
  <c r="P17" i="3"/>
  <c r="P15" i="3"/>
  <c r="O18" i="3"/>
  <c r="O17" i="3"/>
  <c r="O15" i="3"/>
  <c r="M32" i="3"/>
  <c r="L32" i="3"/>
  <c r="M18" i="3"/>
  <c r="M17" i="3"/>
  <c r="M15" i="3"/>
  <c r="M21" i="3"/>
  <c r="L18" i="3"/>
  <c r="L17" i="3"/>
  <c r="L15" i="3"/>
  <c r="J32" i="3"/>
  <c r="I32" i="3"/>
  <c r="J18" i="3"/>
  <c r="J17" i="3"/>
  <c r="J15" i="3"/>
  <c r="J21" i="3"/>
  <c r="I18" i="3"/>
  <c r="I17" i="3"/>
  <c r="I15" i="3"/>
  <c r="G18" i="3"/>
  <c r="G17" i="3"/>
  <c r="G15" i="3"/>
  <c r="G32" i="3"/>
  <c r="F32" i="3"/>
  <c r="G21" i="3"/>
  <c r="F18" i="3"/>
  <c r="F17" i="3"/>
  <c r="F15" i="3"/>
  <c r="C32" i="3"/>
  <c r="D21" i="3"/>
  <c r="C18" i="3"/>
  <c r="C17" i="3"/>
  <c r="C15" i="3"/>
  <c r="R26" i="3" l="1"/>
  <c r="R22" i="3"/>
  <c r="R14" i="3"/>
  <c r="R36" i="3" s="1"/>
  <c r="R9" i="3"/>
  <c r="O26" i="3"/>
  <c r="O22" i="3"/>
  <c r="O14" i="3"/>
  <c r="O36" i="3" s="1"/>
  <c r="O9" i="3"/>
  <c r="L26" i="3"/>
  <c r="L22" i="3"/>
  <c r="L14" i="3"/>
  <c r="L36" i="3" s="1"/>
  <c r="L9" i="3"/>
  <c r="I26" i="3"/>
  <c r="I22" i="3"/>
  <c r="I14" i="3"/>
  <c r="I36" i="3" s="1"/>
  <c r="I9" i="3"/>
  <c r="F26" i="3"/>
  <c r="F22" i="3"/>
  <c r="F14" i="3"/>
  <c r="F36" i="3" s="1"/>
  <c r="F9" i="3"/>
  <c r="G10" i="3" l="1"/>
  <c r="G9" i="3" s="1"/>
  <c r="J10" i="3"/>
  <c r="M10" i="3"/>
  <c r="P10" i="3"/>
  <c r="S10" i="3"/>
  <c r="S9" i="3" s="1"/>
  <c r="G11" i="3"/>
  <c r="J11" i="3"/>
  <c r="M11" i="3"/>
  <c r="P11" i="3"/>
  <c r="S11" i="3"/>
  <c r="G16" i="3"/>
  <c r="J16" i="3"/>
  <c r="M16" i="3"/>
  <c r="P16" i="3"/>
  <c r="S16" i="3"/>
  <c r="G19" i="3"/>
  <c r="J19" i="3"/>
  <c r="M19" i="3"/>
  <c r="P19" i="3"/>
  <c r="S19" i="3"/>
  <c r="G20" i="3"/>
  <c r="J20" i="3"/>
  <c r="M20" i="3"/>
  <c r="P20" i="3"/>
  <c r="S20" i="3"/>
  <c r="G23" i="3"/>
  <c r="J23" i="3"/>
  <c r="M23" i="3"/>
  <c r="P23" i="3"/>
  <c r="S23" i="3"/>
  <c r="G24" i="3"/>
  <c r="J24" i="3"/>
  <c r="M24" i="3"/>
  <c r="P24" i="3"/>
  <c r="S24" i="3"/>
  <c r="G25" i="3"/>
  <c r="J25" i="3"/>
  <c r="M25" i="3"/>
  <c r="P25" i="3"/>
  <c r="S25" i="3"/>
  <c r="G27" i="3"/>
  <c r="J27" i="3"/>
  <c r="M27" i="3"/>
  <c r="P27" i="3"/>
  <c r="S27" i="3"/>
  <c r="G28" i="3"/>
  <c r="J28" i="3"/>
  <c r="M28" i="3"/>
  <c r="P28" i="3"/>
  <c r="S28" i="3"/>
  <c r="G29" i="3"/>
  <c r="J29" i="3"/>
  <c r="M29" i="3"/>
  <c r="P29" i="3"/>
  <c r="S29" i="3"/>
  <c r="G30" i="3"/>
  <c r="J30" i="3"/>
  <c r="M30" i="3"/>
  <c r="P30" i="3"/>
  <c r="S30" i="3"/>
  <c r="G31" i="3"/>
  <c r="J31" i="3"/>
  <c r="M31" i="3"/>
  <c r="P31" i="3"/>
  <c r="S31" i="3"/>
  <c r="J26" i="3" l="1"/>
  <c r="M26" i="3"/>
  <c r="P26" i="3"/>
  <c r="J22" i="3"/>
  <c r="P9" i="3"/>
  <c r="J9" i="3"/>
  <c r="S26" i="3"/>
  <c r="M9" i="3"/>
  <c r="G26" i="3"/>
  <c r="M22" i="3"/>
  <c r="P22" i="3"/>
  <c r="S22" i="3"/>
  <c r="G22" i="3"/>
  <c r="S14" i="3"/>
  <c r="G14" i="3"/>
  <c r="J14" i="3"/>
  <c r="M14" i="3"/>
  <c r="P14" i="3"/>
  <c r="D29" i="3"/>
  <c r="D25" i="3"/>
  <c r="D24" i="3"/>
  <c r="D23" i="3"/>
  <c r="D10" i="3"/>
  <c r="D11" i="3"/>
  <c r="D15" i="3"/>
  <c r="D16" i="3"/>
  <c r="D17" i="3"/>
  <c r="D18" i="3"/>
  <c r="D19" i="3"/>
  <c r="D20" i="3"/>
  <c r="D27" i="3"/>
  <c r="D28" i="3"/>
  <c r="D30" i="3"/>
  <c r="D31" i="3"/>
  <c r="C26" i="3"/>
  <c r="C22" i="3"/>
  <c r="C14" i="3"/>
  <c r="C9" i="3"/>
  <c r="D32" i="3" l="1"/>
  <c r="J34" i="3"/>
  <c r="J36" i="3" s="1"/>
  <c r="S34" i="3"/>
  <c r="S36" i="3" s="1"/>
  <c r="M34" i="3"/>
  <c r="M36" i="3" s="1"/>
  <c r="P34" i="3"/>
  <c r="P36" i="3" s="1"/>
  <c r="G34" i="3"/>
  <c r="G36" i="3" s="1"/>
  <c r="C36" i="3"/>
  <c r="D9" i="3"/>
  <c r="D14" i="3"/>
  <c r="D26" i="3"/>
  <c r="D22" i="3"/>
  <c r="D34" i="3" l="1"/>
  <c r="D36" i="3" s="1"/>
</calcChain>
</file>

<file path=xl/sharedStrings.xml><?xml version="1.0" encoding="utf-8"?>
<sst xmlns="http://schemas.openxmlformats.org/spreadsheetml/2006/main" count="180" uniqueCount="62">
  <si>
    <t>месяцы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</si>
  <si>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</si>
  <si>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</si>
  <si>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</si>
  <si>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</si>
  <si>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</si>
  <si>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</si>
  <si>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</si>
  <si>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</si>
  <si>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</si>
  <si>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</si>
  <si>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</si>
  <si>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</si>
  <si>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</si>
  <si>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</si>
  <si>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</si>
  <si>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</si>
  <si>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</si>
  <si>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</si>
  <si>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</si>
  <si>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</si>
  <si>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</si>
  <si>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</si>
  <si>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</si>
  <si>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</si>
  <si>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</si>
  <si>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</si>
  <si>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</si>
  <si>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</si>
  <si>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</si>
  <si>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</si>
  <si>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</si>
  <si>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>постоянно</t>
  </si>
  <si>
    <t xml:space="preserve"> деревянный благоустроенный дом с ХВС, ГВС, канализацией, центральным отоплением</t>
  </si>
  <si>
    <t>Приложение № 2</t>
  </si>
  <si>
    <t xml:space="preserve"> извещению и документации </t>
  </si>
  <si>
    <t>о проведении открытого конкурса</t>
  </si>
  <si>
    <t xml:space="preserve">9. Сезонный осмотр конструкций здания( фасадов, стен, фундаментов, кровли, преркрытий, лестниц) Составление актов осмотра.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</si>
  <si>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проведение восстановительных работ,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</si>
  <si>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тепловых пунктов, насосов, запорной арматуры,   систем водоснабжения, обслуживание и ремонт бойлерных, удаление воздуха из системы отопления. Контроль состояния герметичности участков трубопроводов, промывка систем водоснабжения для удаления накипно-коррозионных отложений.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</si>
  <si>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 Смена отдельных участков трубопроводов по необходимости. Ремонт выключателей, замена ламп.</t>
  </si>
  <si>
    <t>13. Аварийное обслуживание</t>
  </si>
  <si>
    <t>14. Текущий ремонт</t>
  </si>
  <si>
    <t>15. Дератизация</t>
  </si>
  <si>
    <t>16. Дезинсекция</t>
  </si>
  <si>
    <t>6 раз(а) в год</t>
  </si>
  <si>
    <t xml:space="preserve">Стоимость на 1 кв. м. общей площади (руб./мес.)  (размер платы в месяц на 1 кв. м.)  </t>
  </si>
  <si>
    <t>Площадь жилых помещений, кв.м</t>
  </si>
  <si>
    <t>Общая годовая стоимость работ по многоквартирным домам, руб.</t>
  </si>
  <si>
    <t>4 раз(а) в неделю контейнера</t>
  </si>
  <si>
    <t>ул. Конзихинская</t>
  </si>
  <si>
    <t>11</t>
  </si>
  <si>
    <t>13</t>
  </si>
  <si>
    <t>13, к.1</t>
  </si>
  <si>
    <t>28</t>
  </si>
  <si>
    <t>32</t>
  </si>
  <si>
    <t>33</t>
  </si>
  <si>
    <t>Лот №5 Северный территориальный округ</t>
  </si>
  <si>
    <t>1 раз(а) в 2 недели, уборка мусора с газонов 1 раз в месяц</t>
  </si>
  <si>
    <t>3 раз(а) в неделю</t>
  </si>
  <si>
    <t>3 раз(а) в год</t>
  </si>
  <si>
    <t>Покос травы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</si>
</sst>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7" fillId="2" borderId="0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4" fontId="8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4" fontId="9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" fontId="16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15" fillId="0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14" fillId="3" borderId="5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view="pageBreakPreview" topLeftCell="J31" zoomScale="86" zoomScaleNormal="100" zoomScaleSheetLayoutView="86" workbookViewId="0">
      <selection activeCell="T32" sqref="T32:AA37"/>
    </sheetView>
  </sheetViews>
  <sheetFormatPr defaultRowHeight="12.75" x14ac:dyDescent="0.2"/>
  <cols>
    <col min="1" max="1" width="76.42578125" style="21" customWidth="1"/>
    <col min="2" max="2" width="45.28515625" style="15" customWidth="1"/>
    <col min="3" max="3" width="23.85546875" style="15" customWidth="1"/>
    <col min="4" max="4" width="9.28515625" style="20" customWidth="1"/>
    <col min="5" max="5" width="28.85546875" customWidth="1"/>
    <col min="6" max="6" width="27.5703125" customWidth="1"/>
    <col min="8" max="8" width="28.85546875" customWidth="1"/>
    <col min="9" max="9" width="27.5703125" customWidth="1"/>
    <col min="11" max="11" width="28.85546875" customWidth="1"/>
    <col min="12" max="12" width="27.5703125" customWidth="1"/>
    <col min="14" max="14" width="28.85546875" customWidth="1"/>
    <col min="15" max="15" width="27.5703125" customWidth="1"/>
    <col min="17" max="17" width="28.85546875" customWidth="1"/>
    <col min="18" max="18" width="27.5703125" customWidth="1"/>
    <col min="20" max="20" width="11.5703125" bestFit="1" customWidth="1"/>
    <col min="21" max="21" width="12.28515625" customWidth="1"/>
    <col min="22" max="22" width="11.85546875" customWidth="1"/>
  </cols>
  <sheetData>
    <row r="1" spans="1:19" s="1" customFormat="1" ht="16.5" customHeight="1" x14ac:dyDescent="0.25">
      <c r="A1" s="14" t="s">
        <v>17</v>
      </c>
      <c r="B1" s="14"/>
      <c r="C1" s="11"/>
      <c r="D1" s="7" t="s">
        <v>34</v>
      </c>
    </row>
    <row r="2" spans="1:19" s="1" customFormat="1" ht="16.5" customHeight="1" x14ac:dyDescent="0.25">
      <c r="A2" s="14" t="s">
        <v>16</v>
      </c>
      <c r="B2" s="14"/>
      <c r="C2" s="11"/>
      <c r="D2" s="3" t="s">
        <v>35</v>
      </c>
    </row>
    <row r="3" spans="1:19" s="1" customFormat="1" ht="16.5" customHeight="1" x14ac:dyDescent="0.25">
      <c r="A3" s="14" t="s">
        <v>15</v>
      </c>
      <c r="B3" s="14"/>
      <c r="C3" s="11"/>
      <c r="D3" s="3" t="s">
        <v>36</v>
      </c>
    </row>
    <row r="4" spans="1:19" s="1" customFormat="1" ht="16.5" customHeight="1" x14ac:dyDescent="0.2">
      <c r="A4" s="14" t="s">
        <v>14</v>
      </c>
      <c r="B4" s="14"/>
      <c r="C4" s="14"/>
      <c r="D4" s="20"/>
    </row>
    <row r="5" spans="1:19" s="1" customFormat="1" x14ac:dyDescent="0.2">
      <c r="A5" s="23" t="s">
        <v>57</v>
      </c>
      <c r="B5" s="15"/>
      <c r="C5" s="15"/>
      <c r="D5" s="20"/>
    </row>
    <row r="6" spans="1:19" s="1" customFormat="1" ht="43.5" customHeight="1" x14ac:dyDescent="0.2">
      <c r="A6" s="42" t="s">
        <v>13</v>
      </c>
      <c r="B6" s="41" t="s">
        <v>11</v>
      </c>
      <c r="C6" s="39" t="s">
        <v>12</v>
      </c>
      <c r="D6" s="44" t="s">
        <v>50</v>
      </c>
      <c r="E6" s="41" t="s">
        <v>11</v>
      </c>
      <c r="F6" s="40" t="s">
        <v>12</v>
      </c>
      <c r="G6" s="44" t="s">
        <v>50</v>
      </c>
      <c r="H6" s="41" t="s">
        <v>11</v>
      </c>
      <c r="I6" s="40" t="s">
        <v>12</v>
      </c>
      <c r="J6" s="44" t="s">
        <v>50</v>
      </c>
      <c r="K6" s="41" t="s">
        <v>11</v>
      </c>
      <c r="L6" s="40" t="s">
        <v>12</v>
      </c>
      <c r="M6" s="44" t="s">
        <v>50</v>
      </c>
      <c r="N6" s="41" t="s">
        <v>11</v>
      </c>
      <c r="O6" s="40" t="s">
        <v>12</v>
      </c>
      <c r="P6" s="44" t="s">
        <v>50</v>
      </c>
      <c r="Q6" s="41" t="s">
        <v>11</v>
      </c>
      <c r="R6" s="40" t="s">
        <v>12</v>
      </c>
      <c r="S6" s="44" t="s">
        <v>50</v>
      </c>
    </row>
    <row r="7" spans="1:19" s="4" customFormat="1" ht="71.25" customHeight="1" x14ac:dyDescent="0.2">
      <c r="A7" s="42"/>
      <c r="B7" s="41"/>
      <c r="C7" s="41" t="s">
        <v>33</v>
      </c>
      <c r="D7" s="44"/>
      <c r="E7" s="41"/>
      <c r="F7" s="41" t="s">
        <v>33</v>
      </c>
      <c r="G7" s="44"/>
      <c r="H7" s="41"/>
      <c r="I7" s="41" t="s">
        <v>33</v>
      </c>
      <c r="J7" s="44"/>
      <c r="K7" s="41"/>
      <c r="L7" s="41" t="s">
        <v>33</v>
      </c>
      <c r="M7" s="44"/>
      <c r="N7" s="41"/>
      <c r="O7" s="41" t="s">
        <v>33</v>
      </c>
      <c r="P7" s="44"/>
      <c r="Q7" s="41"/>
      <c r="R7" s="41" t="s">
        <v>33</v>
      </c>
      <c r="S7" s="44"/>
    </row>
    <row r="8" spans="1:19" s="4" customFormat="1" ht="22.5" customHeight="1" x14ac:dyDescent="0.2">
      <c r="A8" s="42"/>
      <c r="B8" s="41"/>
      <c r="C8" s="41"/>
      <c r="D8" s="43" t="s">
        <v>51</v>
      </c>
      <c r="E8" s="41"/>
      <c r="F8" s="41"/>
      <c r="G8" s="43" t="s">
        <v>52</v>
      </c>
      <c r="H8" s="41"/>
      <c r="I8" s="41"/>
      <c r="J8" s="43" t="s">
        <v>53</v>
      </c>
      <c r="K8" s="41"/>
      <c r="L8" s="41"/>
      <c r="M8" s="43" t="s">
        <v>54</v>
      </c>
      <c r="N8" s="41"/>
      <c r="O8" s="41"/>
      <c r="P8" s="43" t="s">
        <v>55</v>
      </c>
      <c r="Q8" s="41"/>
      <c r="R8" s="41"/>
      <c r="S8" s="43" t="s">
        <v>56</v>
      </c>
    </row>
    <row r="9" spans="1:19" s="1" customFormat="1" ht="12.75" customHeight="1" x14ac:dyDescent="0.2">
      <c r="A9" s="25" t="s">
        <v>10</v>
      </c>
      <c r="B9" s="26"/>
      <c r="C9" s="27">
        <f>SUM(C10:C13)</f>
        <v>1.17</v>
      </c>
      <c r="D9" s="6">
        <f t="shared" ref="D9:S9" si="0">SUM(D10:D13)</f>
        <v>8144.6039999999994</v>
      </c>
      <c r="E9" s="26"/>
      <c r="F9" s="27">
        <f>SUM(F10:F13)</f>
        <v>1.17</v>
      </c>
      <c r="G9" s="6">
        <f t="shared" si="0"/>
        <v>8134.7759999999998</v>
      </c>
      <c r="H9" s="26"/>
      <c r="I9" s="27">
        <f>SUM(I10:I13)</f>
        <v>1.17</v>
      </c>
      <c r="J9" s="6">
        <f t="shared" si="0"/>
        <v>8134.7759999999998</v>
      </c>
      <c r="K9" s="26"/>
      <c r="L9" s="27">
        <f>SUM(L10:L13)</f>
        <v>1.17</v>
      </c>
      <c r="M9" s="6">
        <f t="shared" si="0"/>
        <v>9163.9079999999994</v>
      </c>
      <c r="N9" s="26"/>
      <c r="O9" s="27">
        <f>SUM(O10:O13)</f>
        <v>1.17</v>
      </c>
      <c r="P9" s="6">
        <f t="shared" si="0"/>
        <v>10944.18</v>
      </c>
      <c r="Q9" s="26"/>
      <c r="R9" s="27">
        <f>SUM(R10:R13)</f>
        <v>1.17</v>
      </c>
      <c r="S9" s="6">
        <f t="shared" si="0"/>
        <v>9166.7159999999985</v>
      </c>
    </row>
    <row r="10" spans="1:19" s="1" customFormat="1" ht="12.75" customHeight="1" x14ac:dyDescent="0.2">
      <c r="A10" s="28" t="s">
        <v>18</v>
      </c>
      <c r="B10" s="26" t="s">
        <v>30</v>
      </c>
      <c r="C10" s="26">
        <v>0.99</v>
      </c>
      <c r="D10" s="12">
        <f>$C$10*D35*12</f>
        <v>6891.5879999999997</v>
      </c>
      <c r="E10" s="26" t="s">
        <v>30</v>
      </c>
      <c r="F10" s="26">
        <v>0.99</v>
      </c>
      <c r="G10" s="12">
        <f t="shared" ref="G10:S10" si="1">$C$10*G35*12</f>
        <v>6883.2719999999999</v>
      </c>
      <c r="H10" s="26" t="s">
        <v>30</v>
      </c>
      <c r="I10" s="26">
        <v>0.99</v>
      </c>
      <c r="J10" s="12">
        <f t="shared" si="1"/>
        <v>6883.2719999999999</v>
      </c>
      <c r="K10" s="26" t="s">
        <v>30</v>
      </c>
      <c r="L10" s="26">
        <v>0.99</v>
      </c>
      <c r="M10" s="12">
        <f t="shared" si="1"/>
        <v>7754.076</v>
      </c>
      <c r="N10" s="26" t="s">
        <v>30</v>
      </c>
      <c r="O10" s="26">
        <v>0.99</v>
      </c>
      <c r="P10" s="12">
        <f t="shared" si="1"/>
        <v>9260.4600000000009</v>
      </c>
      <c r="Q10" s="26" t="s">
        <v>30</v>
      </c>
      <c r="R10" s="26">
        <v>0.99</v>
      </c>
      <c r="S10" s="12">
        <f t="shared" si="1"/>
        <v>7756.4519999999993</v>
      </c>
    </row>
    <row r="11" spans="1:19" s="1" customFormat="1" ht="28.5" customHeight="1" x14ac:dyDescent="0.2">
      <c r="A11" s="28" t="s">
        <v>21</v>
      </c>
      <c r="B11" s="26" t="s">
        <v>31</v>
      </c>
      <c r="C11" s="26">
        <v>0.18</v>
      </c>
      <c r="D11" s="12">
        <f>$C$11*D35*12</f>
        <v>1253.0160000000001</v>
      </c>
      <c r="E11" s="26" t="s">
        <v>31</v>
      </c>
      <c r="F11" s="26">
        <v>0.18</v>
      </c>
      <c r="G11" s="12">
        <f t="shared" ref="G11:S11" si="2">$C$11*G35*12</f>
        <v>1251.5039999999999</v>
      </c>
      <c r="H11" s="26" t="s">
        <v>31</v>
      </c>
      <c r="I11" s="26">
        <v>0.18</v>
      </c>
      <c r="J11" s="12">
        <f t="shared" si="2"/>
        <v>1251.5039999999999</v>
      </c>
      <c r="K11" s="26" t="s">
        <v>31</v>
      </c>
      <c r="L11" s="26">
        <v>0.18</v>
      </c>
      <c r="M11" s="12">
        <f t="shared" si="2"/>
        <v>1409.8320000000001</v>
      </c>
      <c r="N11" s="26" t="s">
        <v>31</v>
      </c>
      <c r="O11" s="26">
        <v>0.18</v>
      </c>
      <c r="P11" s="12">
        <f t="shared" si="2"/>
        <v>1683.72</v>
      </c>
      <c r="Q11" s="26" t="s">
        <v>31</v>
      </c>
      <c r="R11" s="26">
        <v>0.18</v>
      </c>
      <c r="S11" s="12">
        <f t="shared" si="2"/>
        <v>1410.2639999999999</v>
      </c>
    </row>
    <row r="12" spans="1:19" s="13" customFormat="1" x14ac:dyDescent="0.2">
      <c r="A12" s="28"/>
      <c r="B12" s="26"/>
      <c r="C12" s="26"/>
      <c r="D12" s="12"/>
      <c r="E12" s="26"/>
      <c r="F12" s="26"/>
      <c r="G12" s="12"/>
      <c r="H12" s="26"/>
      <c r="I12" s="26"/>
      <c r="J12" s="12"/>
      <c r="K12" s="26"/>
      <c r="L12" s="26"/>
      <c r="M12" s="12"/>
      <c r="N12" s="26"/>
      <c r="O12" s="26"/>
      <c r="P12" s="12"/>
      <c r="Q12" s="26"/>
      <c r="R12" s="26"/>
      <c r="S12" s="12"/>
    </row>
    <row r="13" spans="1:19" s="13" customFormat="1" x14ac:dyDescent="0.2">
      <c r="A13" s="28"/>
      <c r="B13" s="26"/>
      <c r="C13" s="26"/>
      <c r="D13" s="12"/>
      <c r="E13" s="26"/>
      <c r="F13" s="26"/>
      <c r="G13" s="12"/>
      <c r="H13" s="26"/>
      <c r="I13" s="26"/>
      <c r="J13" s="12"/>
      <c r="K13" s="26"/>
      <c r="L13" s="26"/>
      <c r="M13" s="12"/>
      <c r="N13" s="26"/>
      <c r="O13" s="26"/>
      <c r="P13" s="12"/>
      <c r="Q13" s="26"/>
      <c r="R13" s="26"/>
      <c r="S13" s="12"/>
    </row>
    <row r="14" spans="1:19" s="13" customFormat="1" ht="37.5" customHeight="1" x14ac:dyDescent="0.2">
      <c r="A14" s="29" t="s">
        <v>9</v>
      </c>
      <c r="B14" s="26"/>
      <c r="C14" s="27">
        <f>SUM(C15:C21)</f>
        <v>12.83</v>
      </c>
      <c r="D14" s="16">
        <f>SUM(D15:D21)</f>
        <v>89312.196000000011</v>
      </c>
      <c r="E14" s="26"/>
      <c r="F14" s="27">
        <f>SUM(F15:F21)</f>
        <v>11.26</v>
      </c>
      <c r="G14" s="16">
        <f t="shared" ref="G14:S14" si="3">SUM(G15:G21)</f>
        <v>78288.528000000006</v>
      </c>
      <c r="H14" s="26"/>
      <c r="I14" s="27">
        <f>SUM(I15:I21)</f>
        <v>11.73</v>
      </c>
      <c r="J14" s="16">
        <f t="shared" si="3"/>
        <v>81556.343999999997</v>
      </c>
      <c r="K14" s="26"/>
      <c r="L14" s="27">
        <f>SUM(L15:L21)</f>
        <v>11.89</v>
      </c>
      <c r="M14" s="16">
        <f t="shared" si="3"/>
        <v>93127.236000000019</v>
      </c>
      <c r="N14" s="26"/>
      <c r="O14" s="27">
        <f>SUM(O15:O21)</f>
        <v>9.5300000000000011</v>
      </c>
      <c r="P14" s="16">
        <f t="shared" si="3"/>
        <v>89143.62000000001</v>
      </c>
      <c r="Q14" s="26"/>
      <c r="R14" s="27">
        <f>SUM(R15:R21)</f>
        <v>9.41</v>
      </c>
      <c r="S14" s="16">
        <f t="shared" si="3"/>
        <v>73725.468000000008</v>
      </c>
    </row>
    <row r="15" spans="1:19" s="13" customFormat="1" ht="24" x14ac:dyDescent="0.2">
      <c r="A15" s="30" t="s">
        <v>22</v>
      </c>
      <c r="B15" s="46" t="s">
        <v>58</v>
      </c>
      <c r="C15" s="26">
        <f>0.21+4.22</f>
        <v>4.43</v>
      </c>
      <c r="D15" s="12">
        <f>$C$15*12*D35</f>
        <v>30838.115999999998</v>
      </c>
      <c r="E15" s="46" t="s">
        <v>58</v>
      </c>
      <c r="F15" s="26">
        <f>0.21+3.27</f>
        <v>3.48</v>
      </c>
      <c r="G15" s="12">
        <f>F15*12*G35</f>
        <v>24195.743999999999</v>
      </c>
      <c r="H15" s="46" t="s">
        <v>58</v>
      </c>
      <c r="I15" s="26">
        <f>0.21+3.56</f>
        <v>3.77</v>
      </c>
      <c r="J15" s="12">
        <f>I15*12*J35</f>
        <v>26212.056</v>
      </c>
      <c r="K15" s="46" t="s">
        <v>58</v>
      </c>
      <c r="L15" s="26">
        <f>0.21+3.8</f>
        <v>4.01</v>
      </c>
      <c r="M15" s="12">
        <f>L15*12*M35</f>
        <v>31407.923999999999</v>
      </c>
      <c r="N15" s="46" t="s">
        <v>58</v>
      </c>
      <c r="O15" s="26">
        <f>0.21+2.43</f>
        <v>2.64</v>
      </c>
      <c r="P15" s="12">
        <f>O15*12*P35</f>
        <v>24694.560000000001</v>
      </c>
      <c r="Q15" s="46" t="s">
        <v>58</v>
      </c>
      <c r="R15" s="26">
        <f>0.21+2.52</f>
        <v>2.73</v>
      </c>
      <c r="S15" s="12">
        <f>R15*12*S35</f>
        <v>21389.003999999997</v>
      </c>
    </row>
    <row r="16" spans="1:19" s="13" customFormat="1" x14ac:dyDescent="0.2">
      <c r="A16" s="30" t="s">
        <v>23</v>
      </c>
      <c r="B16" s="47" t="s">
        <v>8</v>
      </c>
      <c r="C16" s="26">
        <v>0.49</v>
      </c>
      <c r="D16" s="12">
        <f>$C$16*12*D35</f>
        <v>3410.9880000000003</v>
      </c>
      <c r="E16" s="47" t="s">
        <v>8</v>
      </c>
      <c r="F16" s="26">
        <v>0.49</v>
      </c>
      <c r="G16" s="12">
        <f t="shared" ref="G16:S16" si="4">$C$16*12*G35</f>
        <v>3406.8719999999998</v>
      </c>
      <c r="H16" s="47" t="s">
        <v>8</v>
      </c>
      <c r="I16" s="26">
        <v>0.49</v>
      </c>
      <c r="J16" s="12">
        <f t="shared" si="4"/>
        <v>3406.8719999999998</v>
      </c>
      <c r="K16" s="47" t="s">
        <v>8</v>
      </c>
      <c r="L16" s="26">
        <v>0.49</v>
      </c>
      <c r="M16" s="12">
        <f t="shared" si="4"/>
        <v>3837.8760000000002</v>
      </c>
      <c r="N16" s="47" t="s">
        <v>8</v>
      </c>
      <c r="O16" s="26">
        <v>0.49</v>
      </c>
      <c r="P16" s="12">
        <f t="shared" si="4"/>
        <v>4583.46</v>
      </c>
      <c r="Q16" s="47" t="s">
        <v>8</v>
      </c>
      <c r="R16" s="26">
        <v>0.49</v>
      </c>
      <c r="S16" s="12">
        <f t="shared" si="4"/>
        <v>3839.0519999999997</v>
      </c>
    </row>
    <row r="17" spans="1:27" s="13" customFormat="1" x14ac:dyDescent="0.2">
      <c r="A17" s="30" t="s">
        <v>24</v>
      </c>
      <c r="B17" s="47" t="s">
        <v>59</v>
      </c>
      <c r="C17" s="26">
        <f>0.37+1.27</f>
        <v>1.6400000000000001</v>
      </c>
      <c r="D17" s="12">
        <f>$C$17*12*D35</f>
        <v>11416.368</v>
      </c>
      <c r="E17" s="47" t="s">
        <v>59</v>
      </c>
      <c r="F17" s="26">
        <f>0.37+1.25</f>
        <v>1.62</v>
      </c>
      <c r="G17" s="12">
        <f>F17*12*G35</f>
        <v>11263.536</v>
      </c>
      <c r="H17" s="47" t="s">
        <v>59</v>
      </c>
      <c r="I17" s="26">
        <f>0.37+1.25</f>
        <v>1.62</v>
      </c>
      <c r="J17" s="12">
        <f>I17*12*J35</f>
        <v>11263.536</v>
      </c>
      <c r="K17" s="47" t="s">
        <v>59</v>
      </c>
      <c r="L17" s="26">
        <f>0.37+1.11</f>
        <v>1.48</v>
      </c>
      <c r="M17" s="12">
        <f>L17*12*M35</f>
        <v>11591.951999999999</v>
      </c>
      <c r="N17" s="47" t="s">
        <v>59</v>
      </c>
      <c r="O17" s="26">
        <f>0.37+1.02</f>
        <v>1.3900000000000001</v>
      </c>
      <c r="P17" s="12">
        <f>O17*12*P35</f>
        <v>13002.06</v>
      </c>
      <c r="Q17" s="47" t="s">
        <v>59</v>
      </c>
      <c r="R17" s="26">
        <f>0.37+0.86</f>
        <v>1.23</v>
      </c>
      <c r="S17" s="12">
        <f>R17*12*S35</f>
        <v>9636.8040000000001</v>
      </c>
    </row>
    <row r="18" spans="1:27" s="13" customFormat="1" ht="57.75" customHeight="1" x14ac:dyDescent="0.2">
      <c r="A18" s="31" t="s">
        <v>25</v>
      </c>
      <c r="B18" s="46" t="s">
        <v>7</v>
      </c>
      <c r="C18" s="26">
        <f>0.3+1.15</f>
        <v>1.45</v>
      </c>
      <c r="D18" s="12">
        <f>$C$18*12*D35</f>
        <v>10093.74</v>
      </c>
      <c r="E18" s="46" t="s">
        <v>7</v>
      </c>
      <c r="F18" s="26">
        <f>0.3+1.13</f>
        <v>1.43</v>
      </c>
      <c r="G18" s="12">
        <f>F18*12*G35</f>
        <v>9942.503999999999</v>
      </c>
      <c r="H18" s="46" t="s">
        <v>7</v>
      </c>
      <c r="I18" s="26">
        <f>0.3+1.13</f>
        <v>1.43</v>
      </c>
      <c r="J18" s="12">
        <f>I18*12*J35</f>
        <v>9942.503999999999</v>
      </c>
      <c r="K18" s="46" t="s">
        <v>7</v>
      </c>
      <c r="L18" s="26">
        <f>0.3+1.01</f>
        <v>1.31</v>
      </c>
      <c r="M18" s="12">
        <f>L18*12*M35</f>
        <v>10260.444000000001</v>
      </c>
      <c r="N18" s="46" t="s">
        <v>7</v>
      </c>
      <c r="O18" s="26">
        <f>0.3+0.92</f>
        <v>1.22</v>
      </c>
      <c r="P18" s="12">
        <f>O18*12*P35</f>
        <v>11411.880000000001</v>
      </c>
      <c r="Q18" s="46" t="s">
        <v>7</v>
      </c>
      <c r="R18" s="26">
        <f>0.3+0.78</f>
        <v>1.08</v>
      </c>
      <c r="S18" s="12">
        <f>R18*12*S35</f>
        <v>8461.5840000000007</v>
      </c>
    </row>
    <row r="19" spans="1:27" s="13" customFormat="1" ht="38.25" customHeight="1" x14ac:dyDescent="0.2">
      <c r="A19" s="28" t="s">
        <v>26</v>
      </c>
      <c r="B19" s="47" t="s">
        <v>60</v>
      </c>
      <c r="C19" s="26">
        <v>7.0000000000000007E-2</v>
      </c>
      <c r="D19" s="12">
        <f>$C$19*12*D35</f>
        <v>487.28400000000005</v>
      </c>
      <c r="E19" s="47" t="s">
        <v>60</v>
      </c>
      <c r="F19" s="26">
        <v>7.0000000000000007E-2</v>
      </c>
      <c r="G19" s="12">
        <f t="shared" ref="G19:S19" si="5">$C$19*12*G35</f>
        <v>486.69600000000003</v>
      </c>
      <c r="H19" s="47" t="s">
        <v>60</v>
      </c>
      <c r="I19" s="26">
        <v>7.0000000000000007E-2</v>
      </c>
      <c r="J19" s="12">
        <f t="shared" si="5"/>
        <v>486.69600000000003</v>
      </c>
      <c r="K19" s="47" t="s">
        <v>60</v>
      </c>
      <c r="L19" s="26">
        <v>7.0000000000000007E-2</v>
      </c>
      <c r="M19" s="12">
        <f t="shared" si="5"/>
        <v>548.26800000000014</v>
      </c>
      <c r="N19" s="47" t="s">
        <v>60</v>
      </c>
      <c r="O19" s="26">
        <v>7.0000000000000007E-2</v>
      </c>
      <c r="P19" s="12">
        <f t="shared" si="5"/>
        <v>654.78000000000009</v>
      </c>
      <c r="Q19" s="47" t="s">
        <v>60</v>
      </c>
      <c r="R19" s="26">
        <v>7.0000000000000007E-2</v>
      </c>
      <c r="S19" s="12">
        <f t="shared" si="5"/>
        <v>548.43600000000004</v>
      </c>
    </row>
    <row r="20" spans="1:27" s="13" customFormat="1" x14ac:dyDescent="0.2">
      <c r="A20" s="30" t="s">
        <v>27</v>
      </c>
      <c r="B20" s="46" t="s">
        <v>49</v>
      </c>
      <c r="C20" s="26">
        <v>2.4900000000000002</v>
      </c>
      <c r="D20" s="12">
        <f>$C$20*12*D35</f>
        <v>17333.388000000003</v>
      </c>
      <c r="E20" s="46" t="s">
        <v>49</v>
      </c>
      <c r="F20" s="26">
        <v>2.4900000000000002</v>
      </c>
      <c r="G20" s="12">
        <f t="shared" ref="G20:S20" si="6">$C$20*12*G35</f>
        <v>17312.472000000002</v>
      </c>
      <c r="H20" s="46" t="s">
        <v>49</v>
      </c>
      <c r="I20" s="26">
        <v>2.4900000000000002</v>
      </c>
      <c r="J20" s="12">
        <f t="shared" si="6"/>
        <v>17312.472000000002</v>
      </c>
      <c r="K20" s="46" t="s">
        <v>49</v>
      </c>
      <c r="L20" s="26">
        <v>2.4900000000000002</v>
      </c>
      <c r="M20" s="12">
        <f t="shared" si="6"/>
        <v>19502.676000000003</v>
      </c>
      <c r="N20" s="46" t="s">
        <v>49</v>
      </c>
      <c r="O20" s="26">
        <v>2.4900000000000002</v>
      </c>
      <c r="P20" s="12">
        <f t="shared" si="6"/>
        <v>23291.460000000003</v>
      </c>
      <c r="Q20" s="46" t="s">
        <v>49</v>
      </c>
      <c r="R20" s="26">
        <v>2.4900000000000002</v>
      </c>
      <c r="S20" s="12">
        <f t="shared" si="6"/>
        <v>19508.652000000002</v>
      </c>
    </row>
    <row r="21" spans="1:27" s="13" customFormat="1" ht="27.75" customHeight="1" x14ac:dyDescent="0.2">
      <c r="A21" s="30" t="s">
        <v>61</v>
      </c>
      <c r="B21" s="47" t="s">
        <v>60</v>
      </c>
      <c r="C21" s="26">
        <v>2.2599999999999998</v>
      </c>
      <c r="D21" s="12">
        <f>C21*12*D35</f>
        <v>15732.312</v>
      </c>
      <c r="E21" s="47" t="s">
        <v>60</v>
      </c>
      <c r="F21" s="26">
        <v>1.68</v>
      </c>
      <c r="G21" s="12">
        <f>F21*12*G35</f>
        <v>11680.704</v>
      </c>
      <c r="H21" s="47" t="s">
        <v>60</v>
      </c>
      <c r="I21" s="26">
        <v>1.86</v>
      </c>
      <c r="J21" s="12">
        <f>I21*12*J35</f>
        <v>12932.208000000001</v>
      </c>
      <c r="K21" s="47" t="s">
        <v>60</v>
      </c>
      <c r="L21" s="26">
        <v>2.04</v>
      </c>
      <c r="M21" s="12">
        <f>L21*12*M35</f>
        <v>15978.096000000001</v>
      </c>
      <c r="N21" s="47" t="s">
        <v>60</v>
      </c>
      <c r="O21" s="26">
        <v>1.23</v>
      </c>
      <c r="P21" s="12">
        <f>O21*12*P35</f>
        <v>11505.42</v>
      </c>
      <c r="Q21" s="47" t="s">
        <v>60</v>
      </c>
      <c r="R21" s="26">
        <v>1.32</v>
      </c>
      <c r="S21" s="12">
        <f>R21*12*S35</f>
        <v>10341.936</v>
      </c>
    </row>
    <row r="22" spans="1:27" s="13" customFormat="1" ht="12.75" customHeight="1" x14ac:dyDescent="0.2">
      <c r="A22" s="29" t="s">
        <v>6</v>
      </c>
      <c r="B22" s="26"/>
      <c r="C22" s="33">
        <f>SUM(C23:C25)</f>
        <v>2.4399999999999995</v>
      </c>
      <c r="D22" s="17">
        <f>SUM(D23:D25)</f>
        <v>16985.327999999998</v>
      </c>
      <c r="E22" s="26"/>
      <c r="F22" s="33">
        <f>SUM(F23:F25)</f>
        <v>2.4399999999999995</v>
      </c>
      <c r="G22" s="17">
        <f t="shared" ref="G22:S22" si="7">SUM(G23:G25)</f>
        <v>16964.831999999999</v>
      </c>
      <c r="H22" s="26"/>
      <c r="I22" s="33">
        <f>SUM(I23:I25)</f>
        <v>2.4399999999999995</v>
      </c>
      <c r="J22" s="17">
        <f t="shared" si="7"/>
        <v>16964.831999999999</v>
      </c>
      <c r="K22" s="26"/>
      <c r="L22" s="33">
        <f>SUM(L23:L25)</f>
        <v>2.4399999999999995</v>
      </c>
      <c r="M22" s="17">
        <f t="shared" si="7"/>
        <v>19111.055999999997</v>
      </c>
      <c r="N22" s="26"/>
      <c r="O22" s="33">
        <f>SUM(O23:O25)</f>
        <v>2.4399999999999995</v>
      </c>
      <c r="P22" s="17">
        <f t="shared" si="7"/>
        <v>22823.759999999995</v>
      </c>
      <c r="Q22" s="26"/>
      <c r="R22" s="33">
        <f>SUM(R23:R25)</f>
        <v>2.4399999999999995</v>
      </c>
      <c r="S22" s="17">
        <f t="shared" si="7"/>
        <v>19116.911999999997</v>
      </c>
    </row>
    <row r="23" spans="1:27" s="13" customFormat="1" ht="39.75" customHeight="1" x14ac:dyDescent="0.2">
      <c r="A23" s="28" t="s">
        <v>37</v>
      </c>
      <c r="B23" s="26" t="s">
        <v>1</v>
      </c>
      <c r="C23" s="26">
        <v>1.1299999999999999</v>
      </c>
      <c r="D23" s="12">
        <f>$C$23*D35*12</f>
        <v>7866.155999999999</v>
      </c>
      <c r="E23" s="26" t="s">
        <v>1</v>
      </c>
      <c r="F23" s="26">
        <v>1.1299999999999999</v>
      </c>
      <c r="G23" s="12">
        <f t="shared" ref="G23:S23" si="8">$C$23*G35*12</f>
        <v>7856.6639999999989</v>
      </c>
      <c r="H23" s="26" t="s">
        <v>1</v>
      </c>
      <c r="I23" s="26">
        <v>1.1299999999999999</v>
      </c>
      <c r="J23" s="12">
        <f t="shared" si="8"/>
        <v>7856.6639999999989</v>
      </c>
      <c r="K23" s="26" t="s">
        <v>1</v>
      </c>
      <c r="L23" s="26">
        <v>1.1299999999999999</v>
      </c>
      <c r="M23" s="12">
        <f t="shared" si="8"/>
        <v>8850.6119999999992</v>
      </c>
      <c r="N23" s="26" t="s">
        <v>1</v>
      </c>
      <c r="O23" s="26">
        <v>1.1299999999999999</v>
      </c>
      <c r="P23" s="12">
        <f t="shared" si="8"/>
        <v>10570.019999999999</v>
      </c>
      <c r="Q23" s="26" t="s">
        <v>1</v>
      </c>
      <c r="R23" s="26">
        <v>1.1299999999999999</v>
      </c>
      <c r="S23" s="12">
        <f t="shared" si="8"/>
        <v>8853.3239999999987</v>
      </c>
    </row>
    <row r="24" spans="1:27" s="13" customFormat="1" ht="59.25" customHeight="1" x14ac:dyDescent="0.2">
      <c r="A24" s="28" t="s">
        <v>38</v>
      </c>
      <c r="B24" s="32" t="s">
        <v>5</v>
      </c>
      <c r="C24" s="26">
        <v>0.16</v>
      </c>
      <c r="D24" s="12">
        <f>$C$24*D35*12</f>
        <v>1113.7919999999999</v>
      </c>
      <c r="E24" s="32" t="s">
        <v>5</v>
      </c>
      <c r="F24" s="26">
        <v>0.16</v>
      </c>
      <c r="G24" s="12">
        <f t="shared" ref="G24:S24" si="9">$C$24*G35*12</f>
        <v>1112.4479999999999</v>
      </c>
      <c r="H24" s="32" t="s">
        <v>5</v>
      </c>
      <c r="I24" s="26">
        <v>0.16</v>
      </c>
      <c r="J24" s="12">
        <f t="shared" si="9"/>
        <v>1112.4479999999999</v>
      </c>
      <c r="K24" s="32" t="s">
        <v>5</v>
      </c>
      <c r="L24" s="26">
        <v>0.16</v>
      </c>
      <c r="M24" s="12">
        <f t="shared" si="9"/>
        <v>1253.1840000000002</v>
      </c>
      <c r="N24" s="32" t="s">
        <v>5</v>
      </c>
      <c r="O24" s="26">
        <v>0.16</v>
      </c>
      <c r="P24" s="12">
        <f t="shared" si="9"/>
        <v>1496.6399999999999</v>
      </c>
      <c r="Q24" s="32" t="s">
        <v>5</v>
      </c>
      <c r="R24" s="26">
        <v>0.16</v>
      </c>
      <c r="S24" s="12">
        <f t="shared" si="9"/>
        <v>1253.568</v>
      </c>
    </row>
    <row r="25" spans="1:27" s="13" customFormat="1" ht="73.5" customHeight="1" x14ac:dyDescent="0.2">
      <c r="A25" s="28" t="s">
        <v>39</v>
      </c>
      <c r="B25" s="26" t="s">
        <v>4</v>
      </c>
      <c r="C25" s="26">
        <v>1.1499999999999999</v>
      </c>
      <c r="D25" s="22">
        <f>$C$25*D35*12</f>
        <v>8005.38</v>
      </c>
      <c r="E25" s="26" t="s">
        <v>4</v>
      </c>
      <c r="F25" s="26">
        <v>1.1499999999999999</v>
      </c>
      <c r="G25" s="22">
        <f t="shared" ref="G25:S25" si="10">$C$25*G35*12</f>
        <v>7995.7199999999993</v>
      </c>
      <c r="H25" s="26" t="s">
        <v>4</v>
      </c>
      <c r="I25" s="26">
        <v>1.1499999999999999</v>
      </c>
      <c r="J25" s="22">
        <f t="shared" si="10"/>
        <v>7995.7199999999993</v>
      </c>
      <c r="K25" s="26" t="s">
        <v>4</v>
      </c>
      <c r="L25" s="26">
        <v>1.1499999999999999</v>
      </c>
      <c r="M25" s="22">
        <f t="shared" si="10"/>
        <v>9007.26</v>
      </c>
      <c r="N25" s="26" t="s">
        <v>4</v>
      </c>
      <c r="O25" s="26">
        <v>1.1499999999999999</v>
      </c>
      <c r="P25" s="22">
        <f t="shared" si="10"/>
        <v>10757.099999999999</v>
      </c>
      <c r="Q25" s="26" t="s">
        <v>4</v>
      </c>
      <c r="R25" s="26">
        <v>1.1499999999999999</v>
      </c>
      <c r="S25" s="22">
        <f t="shared" si="10"/>
        <v>9010.0199999999986</v>
      </c>
    </row>
    <row r="26" spans="1:27" s="13" customFormat="1" ht="36" customHeight="1" x14ac:dyDescent="0.2">
      <c r="A26" s="25" t="s">
        <v>3</v>
      </c>
      <c r="B26" s="26"/>
      <c r="C26" s="33">
        <f>SUM(C27:C31)</f>
        <v>10.84</v>
      </c>
      <c r="D26" s="17">
        <f>SUM(D27:D31)</f>
        <v>75459.40800000001</v>
      </c>
      <c r="E26" s="26"/>
      <c r="F26" s="33">
        <f>SUM(F27:F31)</f>
        <v>10.84</v>
      </c>
      <c r="G26" s="17">
        <f t="shared" ref="G26:S26" si="11">SUM(G27:G31)</f>
        <v>75368.352000000014</v>
      </c>
      <c r="H26" s="26"/>
      <c r="I26" s="33">
        <f>SUM(I27:I31)</f>
        <v>10.84</v>
      </c>
      <c r="J26" s="17">
        <f t="shared" si="11"/>
        <v>75368.352000000014</v>
      </c>
      <c r="K26" s="26"/>
      <c r="L26" s="33">
        <f>SUM(L27:L31)</f>
        <v>10.84</v>
      </c>
      <c r="M26" s="17">
        <f t="shared" si="11"/>
        <v>84903.216000000015</v>
      </c>
      <c r="N26" s="26"/>
      <c r="O26" s="33">
        <f>SUM(O27:O31)</f>
        <v>10.84</v>
      </c>
      <c r="P26" s="17">
        <f t="shared" si="11"/>
        <v>101397.36</v>
      </c>
      <c r="Q26" s="26"/>
      <c r="R26" s="33">
        <f>SUM(R27:R31)</f>
        <v>10.84</v>
      </c>
      <c r="S26" s="17">
        <f t="shared" si="11"/>
        <v>84929.231999999989</v>
      </c>
    </row>
    <row r="27" spans="1:27" s="13" customFormat="1" ht="136.5" customHeight="1" x14ac:dyDescent="0.2">
      <c r="A27" s="28" t="s">
        <v>40</v>
      </c>
      <c r="B27" s="32" t="s">
        <v>19</v>
      </c>
      <c r="C27" s="26">
        <v>6.45</v>
      </c>
      <c r="D27" s="12">
        <f>$C$27*12*D35</f>
        <v>44899.740000000005</v>
      </c>
      <c r="E27" s="32" t="s">
        <v>19</v>
      </c>
      <c r="F27" s="26">
        <v>6.45</v>
      </c>
      <c r="G27" s="12">
        <f t="shared" ref="G27:S27" si="12">$C$27*12*G35</f>
        <v>44845.560000000005</v>
      </c>
      <c r="H27" s="32" t="s">
        <v>19</v>
      </c>
      <c r="I27" s="26">
        <v>6.45</v>
      </c>
      <c r="J27" s="12">
        <f t="shared" si="12"/>
        <v>44845.560000000005</v>
      </c>
      <c r="K27" s="32" t="s">
        <v>19</v>
      </c>
      <c r="L27" s="26">
        <v>6.45</v>
      </c>
      <c r="M27" s="12">
        <f t="shared" si="12"/>
        <v>50518.98000000001</v>
      </c>
      <c r="N27" s="32" t="s">
        <v>19</v>
      </c>
      <c r="O27" s="26">
        <v>6.45</v>
      </c>
      <c r="P27" s="12">
        <f t="shared" si="12"/>
        <v>60333.3</v>
      </c>
      <c r="Q27" s="32" t="s">
        <v>19</v>
      </c>
      <c r="R27" s="26">
        <v>6.45</v>
      </c>
      <c r="S27" s="12">
        <f t="shared" si="12"/>
        <v>50534.46</v>
      </c>
    </row>
    <row r="28" spans="1:27" s="13" customFormat="1" ht="51" customHeight="1" x14ac:dyDescent="0.2">
      <c r="A28" s="30" t="s">
        <v>41</v>
      </c>
      <c r="B28" s="32" t="s">
        <v>2</v>
      </c>
      <c r="C28" s="26">
        <v>1.37</v>
      </c>
      <c r="D28" s="12">
        <f>$C$28*12*D35</f>
        <v>9536.844000000001</v>
      </c>
      <c r="E28" s="32" t="s">
        <v>2</v>
      </c>
      <c r="F28" s="26">
        <v>1.37</v>
      </c>
      <c r="G28" s="12">
        <f t="shared" ref="G28:S28" si="13">$C$28*12*G35</f>
        <v>9525.3360000000011</v>
      </c>
      <c r="H28" s="32" t="s">
        <v>2</v>
      </c>
      <c r="I28" s="26">
        <v>1.37</v>
      </c>
      <c r="J28" s="12">
        <f t="shared" si="13"/>
        <v>9525.3360000000011</v>
      </c>
      <c r="K28" s="32" t="s">
        <v>2</v>
      </c>
      <c r="L28" s="26">
        <v>1.37</v>
      </c>
      <c r="M28" s="12">
        <f t="shared" si="13"/>
        <v>10730.388000000001</v>
      </c>
      <c r="N28" s="32" t="s">
        <v>2</v>
      </c>
      <c r="O28" s="26">
        <v>1.37</v>
      </c>
      <c r="P28" s="12">
        <f t="shared" si="13"/>
        <v>12814.980000000001</v>
      </c>
      <c r="Q28" s="32" t="s">
        <v>2</v>
      </c>
      <c r="R28" s="26">
        <v>1.37</v>
      </c>
      <c r="S28" s="12">
        <f t="shared" si="13"/>
        <v>10733.676000000001</v>
      </c>
    </row>
    <row r="29" spans="1:27" s="13" customFormat="1" ht="24.75" customHeight="1" x14ac:dyDescent="0.2">
      <c r="A29" s="30" t="s">
        <v>42</v>
      </c>
      <c r="B29" s="32" t="s">
        <v>20</v>
      </c>
      <c r="C29" s="26">
        <v>2.35</v>
      </c>
      <c r="D29" s="24">
        <f>$C$29*12*D35</f>
        <v>16358.820000000002</v>
      </c>
      <c r="E29" s="32" t="s">
        <v>20</v>
      </c>
      <c r="F29" s="26">
        <v>2.35</v>
      </c>
      <c r="G29" s="24">
        <f t="shared" ref="G29:S29" si="14">$C$29*12*G35</f>
        <v>16339.080000000002</v>
      </c>
      <c r="H29" s="32" t="s">
        <v>20</v>
      </c>
      <c r="I29" s="26">
        <v>2.35</v>
      </c>
      <c r="J29" s="24">
        <f t="shared" si="14"/>
        <v>16339.080000000002</v>
      </c>
      <c r="K29" s="32" t="s">
        <v>20</v>
      </c>
      <c r="L29" s="26">
        <v>2.35</v>
      </c>
      <c r="M29" s="24">
        <f t="shared" si="14"/>
        <v>18406.140000000003</v>
      </c>
      <c r="N29" s="32" t="s">
        <v>20</v>
      </c>
      <c r="O29" s="26">
        <v>2.35</v>
      </c>
      <c r="P29" s="24">
        <f t="shared" si="14"/>
        <v>21981.9</v>
      </c>
      <c r="Q29" s="32" t="s">
        <v>20</v>
      </c>
      <c r="R29" s="26">
        <v>2.35</v>
      </c>
      <c r="S29" s="24">
        <f t="shared" si="14"/>
        <v>18411.780000000002</v>
      </c>
    </row>
    <row r="30" spans="1:27" s="13" customFormat="1" ht="39.75" customHeight="1" x14ac:dyDescent="0.2">
      <c r="A30" s="30" t="s">
        <v>43</v>
      </c>
      <c r="B30" s="26" t="s">
        <v>1</v>
      </c>
      <c r="C30" s="26">
        <v>0.34</v>
      </c>
      <c r="D30" s="12">
        <f>$C$30*12*D35</f>
        <v>2366.808</v>
      </c>
      <c r="E30" s="26" t="s">
        <v>1</v>
      </c>
      <c r="F30" s="26">
        <v>0.34</v>
      </c>
      <c r="G30" s="12">
        <f t="shared" ref="G30:S30" si="15">$C$30*12*G35</f>
        <v>2363.9519999999998</v>
      </c>
      <c r="H30" s="26" t="s">
        <v>1</v>
      </c>
      <c r="I30" s="26">
        <v>0.34</v>
      </c>
      <c r="J30" s="12">
        <f t="shared" si="15"/>
        <v>2363.9519999999998</v>
      </c>
      <c r="K30" s="26" t="s">
        <v>1</v>
      </c>
      <c r="L30" s="26">
        <v>0.34</v>
      </c>
      <c r="M30" s="12">
        <f t="shared" si="15"/>
        <v>2663.0160000000001</v>
      </c>
      <c r="N30" s="26" t="s">
        <v>1</v>
      </c>
      <c r="O30" s="26">
        <v>0.34</v>
      </c>
      <c r="P30" s="12">
        <f t="shared" si="15"/>
        <v>3180.36</v>
      </c>
      <c r="Q30" s="26" t="s">
        <v>1</v>
      </c>
      <c r="R30" s="26">
        <v>0.34</v>
      </c>
      <c r="S30" s="12">
        <f t="shared" si="15"/>
        <v>2663.8319999999999</v>
      </c>
    </row>
    <row r="31" spans="1:27" s="13" customFormat="1" ht="26.25" customHeight="1" x14ac:dyDescent="0.2">
      <c r="A31" s="30" t="s">
        <v>44</v>
      </c>
      <c r="B31" s="26" t="s">
        <v>45</v>
      </c>
      <c r="C31" s="26">
        <v>0.33</v>
      </c>
      <c r="D31" s="12">
        <f>$C$31*12*D35</f>
        <v>2297.1959999999999</v>
      </c>
      <c r="E31" s="26" t="s">
        <v>45</v>
      </c>
      <c r="F31" s="26">
        <v>0.33</v>
      </c>
      <c r="G31" s="12">
        <f t="shared" ref="G31:S31" si="16">$C$31*12*G35</f>
        <v>2294.424</v>
      </c>
      <c r="H31" s="26" t="s">
        <v>45</v>
      </c>
      <c r="I31" s="26">
        <v>0.33</v>
      </c>
      <c r="J31" s="12">
        <f t="shared" si="16"/>
        <v>2294.424</v>
      </c>
      <c r="K31" s="26" t="s">
        <v>45</v>
      </c>
      <c r="L31" s="26">
        <v>0.33</v>
      </c>
      <c r="M31" s="12">
        <f t="shared" si="16"/>
        <v>2584.692</v>
      </c>
      <c r="N31" s="26" t="s">
        <v>45</v>
      </c>
      <c r="O31" s="26">
        <v>0.33</v>
      </c>
      <c r="P31" s="12">
        <f t="shared" si="16"/>
        <v>3086.82</v>
      </c>
      <c r="Q31" s="26" t="s">
        <v>45</v>
      </c>
      <c r="R31" s="26">
        <v>0.33</v>
      </c>
      <c r="S31" s="12">
        <f t="shared" si="16"/>
        <v>2585.4839999999999</v>
      </c>
    </row>
    <row r="32" spans="1:27" s="13" customFormat="1" ht="78.75" customHeight="1" x14ac:dyDescent="0.2">
      <c r="A32" s="34" t="s">
        <v>28</v>
      </c>
      <c r="B32" s="26" t="s">
        <v>32</v>
      </c>
      <c r="C32" s="33">
        <f>2.78+0.15+1.45</f>
        <v>4.38</v>
      </c>
      <c r="D32" s="18">
        <f>$C$32*12*D35</f>
        <v>30490.056000000004</v>
      </c>
      <c r="E32" s="26" t="s">
        <v>32</v>
      </c>
      <c r="F32" s="33">
        <f>2.78+0.15+1.19</f>
        <v>4.1199999999999992</v>
      </c>
      <c r="G32" s="18">
        <f>F32*12*G35</f>
        <v>28645.535999999993</v>
      </c>
      <c r="H32" s="26" t="s">
        <v>32</v>
      </c>
      <c r="I32" s="33">
        <f>2.78+0.15+1.27</f>
        <v>4.1999999999999993</v>
      </c>
      <c r="J32" s="18">
        <f>I32*12*J35</f>
        <v>29201.759999999995</v>
      </c>
      <c r="K32" s="26" t="s">
        <v>32</v>
      </c>
      <c r="L32" s="33">
        <f>2.78+0.15+1.3</f>
        <v>4.2299999999999995</v>
      </c>
      <c r="M32" s="18">
        <f>L32*12*M35</f>
        <v>33131.051999999996</v>
      </c>
      <c r="N32" s="26" t="s">
        <v>32</v>
      </c>
      <c r="O32" s="33">
        <f>2.78+0.15+0.91</f>
        <v>3.84</v>
      </c>
      <c r="P32" s="18">
        <f>O32*12*P35</f>
        <v>35919.360000000001</v>
      </c>
      <c r="Q32" s="26" t="s">
        <v>32</v>
      </c>
      <c r="R32" s="33">
        <f>2.78+0.15+0.89</f>
        <v>3.82</v>
      </c>
      <c r="S32" s="18">
        <f>R32*12*S35</f>
        <v>29928.935999999998</v>
      </c>
      <c r="T32" s="48"/>
      <c r="U32" s="48"/>
      <c r="V32" s="48"/>
      <c r="W32" s="48"/>
      <c r="X32" s="48"/>
      <c r="Y32" s="48"/>
      <c r="Z32" s="48"/>
      <c r="AA32" s="48"/>
    </row>
    <row r="33" spans="1:27" s="13" customFormat="1" ht="33" customHeight="1" x14ac:dyDescent="0.2">
      <c r="A33" s="34" t="s">
        <v>29</v>
      </c>
      <c r="B33" s="26" t="s">
        <v>32</v>
      </c>
      <c r="C33" s="33">
        <v>0</v>
      </c>
      <c r="D33" s="18">
        <v>0</v>
      </c>
      <c r="E33" s="26" t="s">
        <v>32</v>
      </c>
      <c r="F33" s="33">
        <v>0</v>
      </c>
      <c r="G33" s="18">
        <v>0</v>
      </c>
      <c r="H33" s="26" t="s">
        <v>32</v>
      </c>
      <c r="I33" s="33">
        <v>0</v>
      </c>
      <c r="J33" s="18">
        <v>0</v>
      </c>
      <c r="K33" s="26" t="s">
        <v>32</v>
      </c>
      <c r="L33" s="33">
        <v>0</v>
      </c>
      <c r="M33" s="18">
        <v>0</v>
      </c>
      <c r="N33" s="26" t="s">
        <v>32</v>
      </c>
      <c r="O33" s="33">
        <v>0</v>
      </c>
      <c r="P33" s="18">
        <v>0</v>
      </c>
      <c r="Q33" s="26" t="s">
        <v>32</v>
      </c>
      <c r="R33" s="33">
        <v>0</v>
      </c>
      <c r="S33" s="18">
        <v>0</v>
      </c>
      <c r="T33" s="48"/>
      <c r="U33" s="48"/>
      <c r="V33" s="48"/>
      <c r="W33" s="48"/>
      <c r="X33" s="48"/>
      <c r="Y33" s="48"/>
      <c r="Z33" s="48"/>
      <c r="AA33" s="48"/>
    </row>
    <row r="34" spans="1:27" s="19" customFormat="1" ht="21.75" customHeight="1" x14ac:dyDescent="0.2">
      <c r="A34" s="35" t="s">
        <v>48</v>
      </c>
      <c r="B34" s="36"/>
      <c r="C34" s="37"/>
      <c r="D34" s="5">
        <f>D33+D32+D26+D22+D14+D9</f>
        <v>220391.592</v>
      </c>
      <c r="E34" s="36"/>
      <c r="F34" s="37"/>
      <c r="G34" s="5">
        <f t="shared" ref="G34:S34" si="17">G33+G32+G26+G22+G14+G9</f>
        <v>207402.02400000003</v>
      </c>
      <c r="H34" s="36"/>
      <c r="I34" s="37"/>
      <c r="J34" s="5">
        <f t="shared" si="17"/>
        <v>211226.06400000001</v>
      </c>
      <c r="K34" s="36"/>
      <c r="L34" s="37"/>
      <c r="M34" s="5">
        <f t="shared" si="17"/>
        <v>239436.46800000005</v>
      </c>
      <c r="N34" s="36"/>
      <c r="O34" s="37"/>
      <c r="P34" s="5">
        <f t="shared" si="17"/>
        <v>260228.27999999997</v>
      </c>
      <c r="Q34" s="36"/>
      <c r="R34" s="37"/>
      <c r="S34" s="5">
        <f t="shared" si="17"/>
        <v>216867.264</v>
      </c>
      <c r="T34" s="49">
        <f>S34+P34+M34+J34+G34+D34</f>
        <v>1355551.692</v>
      </c>
      <c r="U34" s="49">
        <f>T34/12</f>
        <v>112962.641</v>
      </c>
      <c r="V34" s="49">
        <f>U34*5/100</f>
        <v>5648.1320500000011</v>
      </c>
      <c r="W34" s="50"/>
      <c r="X34" s="50"/>
      <c r="Y34" s="50"/>
      <c r="Z34" s="50"/>
      <c r="AA34" s="50"/>
    </row>
    <row r="35" spans="1:27" s="2" customFormat="1" ht="24.75" customHeight="1" x14ac:dyDescent="0.2">
      <c r="A35" s="35" t="s">
        <v>47</v>
      </c>
      <c r="B35" s="36"/>
      <c r="C35" s="27"/>
      <c r="D35" s="45">
        <v>580.1</v>
      </c>
      <c r="E35" s="36"/>
      <c r="F35" s="27"/>
      <c r="G35" s="45">
        <v>579.4</v>
      </c>
      <c r="H35" s="36"/>
      <c r="I35" s="27"/>
      <c r="J35" s="45">
        <v>579.4</v>
      </c>
      <c r="K35" s="36"/>
      <c r="L35" s="27"/>
      <c r="M35" s="45">
        <v>652.70000000000005</v>
      </c>
      <c r="N35" s="36"/>
      <c r="O35" s="27"/>
      <c r="P35" s="45">
        <v>779.5</v>
      </c>
      <c r="Q35" s="36"/>
      <c r="R35" s="27"/>
      <c r="S35" s="45">
        <v>652.9</v>
      </c>
      <c r="T35" s="49">
        <f>S35+P35+M35+J35+G35+D35</f>
        <v>3824.0000000000005</v>
      </c>
      <c r="U35" s="51"/>
      <c r="V35" s="51">
        <f>T35*70*80/100</f>
        <v>214144.00000000003</v>
      </c>
      <c r="W35" s="52"/>
      <c r="X35" s="52"/>
      <c r="Y35" s="52"/>
      <c r="Z35" s="52"/>
      <c r="AA35" s="52"/>
    </row>
    <row r="36" spans="1:27" s="2" customFormat="1" ht="25.5" customHeight="1" x14ac:dyDescent="0.2">
      <c r="A36" s="35" t="s">
        <v>46</v>
      </c>
      <c r="B36" s="38"/>
      <c r="C36" s="27">
        <f>C14+C22+C26+C32+C33+C9</f>
        <v>31.659999999999997</v>
      </c>
      <c r="D36" s="6">
        <f>D34 /12/D35</f>
        <v>31.66</v>
      </c>
      <c r="E36" s="38"/>
      <c r="F36" s="27">
        <f>F14+F22+F26+F32+F33+F9</f>
        <v>29.83</v>
      </c>
      <c r="G36" s="6">
        <f t="shared" ref="G36:S36" si="18">G34 /12/G35</f>
        <v>29.830000000000009</v>
      </c>
      <c r="H36" s="38"/>
      <c r="I36" s="27">
        <f>I14+I22+I26+I32+I33+I9</f>
        <v>30.379999999999995</v>
      </c>
      <c r="J36" s="6">
        <f t="shared" si="18"/>
        <v>30.380000000000006</v>
      </c>
      <c r="K36" s="38"/>
      <c r="L36" s="27">
        <f>L14+L22+L26+L32+L33+L9</f>
        <v>30.57</v>
      </c>
      <c r="M36" s="6">
        <f t="shared" si="18"/>
        <v>30.570000000000004</v>
      </c>
      <c r="N36" s="38"/>
      <c r="O36" s="27">
        <f>O14+O22+O26+O32+O33+O9</f>
        <v>27.82</v>
      </c>
      <c r="P36" s="6">
        <f t="shared" si="18"/>
        <v>27.819999999999997</v>
      </c>
      <c r="Q36" s="38"/>
      <c r="R36" s="27">
        <f>R14+R22+R26+R32+R33+R9</f>
        <v>27.68</v>
      </c>
      <c r="S36" s="6">
        <f t="shared" si="18"/>
        <v>27.680000000000003</v>
      </c>
      <c r="T36" s="51"/>
      <c r="U36" s="51"/>
      <c r="V36" s="51"/>
      <c r="W36" s="52"/>
      <c r="X36" s="52"/>
      <c r="Y36" s="52"/>
      <c r="Z36" s="52"/>
      <c r="AA36" s="52"/>
    </row>
    <row r="37" spans="1:27" s="2" customFormat="1" ht="15.75" customHeight="1" x14ac:dyDescent="0.2">
      <c r="A37" s="8"/>
      <c r="B37" s="10"/>
      <c r="C37" s="10"/>
      <c r="D37" s="9"/>
      <c r="T37" s="52"/>
      <c r="U37" s="52"/>
      <c r="V37" s="52"/>
      <c r="W37" s="52"/>
      <c r="X37" s="52"/>
      <c r="Y37" s="52"/>
      <c r="Z37" s="52"/>
      <c r="AA37" s="52"/>
    </row>
    <row r="38" spans="1:27" s="2" customFormat="1" ht="25.5" customHeight="1" x14ac:dyDescent="0.2">
      <c r="A38" s="8"/>
      <c r="B38" s="10"/>
      <c r="C38" s="10"/>
      <c r="D38" s="9"/>
    </row>
    <row r="39" spans="1:27" s="13" customFormat="1" ht="12.75" customHeight="1" x14ac:dyDescent="0.2">
      <c r="A39" s="21"/>
      <c r="B39" s="15"/>
      <c r="C39" s="15"/>
      <c r="D39" s="20"/>
    </row>
    <row r="40" spans="1:27" s="13" customFormat="1" ht="12.75" hidden="1" customHeight="1" x14ac:dyDescent="0.2">
      <c r="A40" s="21"/>
      <c r="B40" s="15"/>
      <c r="C40" s="15"/>
      <c r="D40" s="20"/>
    </row>
    <row r="41" spans="1:27" s="13" customFormat="1" x14ac:dyDescent="0.2">
      <c r="A41" s="21"/>
      <c r="B41" s="15"/>
      <c r="C41" s="15"/>
      <c r="D41" s="20"/>
    </row>
    <row r="42" spans="1:27" s="13" customFormat="1" x14ac:dyDescent="0.2">
      <c r="A42" s="21"/>
      <c r="B42" s="15"/>
      <c r="C42" s="15"/>
      <c r="D42" s="20"/>
    </row>
    <row r="43" spans="1:27" s="1" customFormat="1" x14ac:dyDescent="0.2">
      <c r="A43" s="21" t="s">
        <v>0</v>
      </c>
      <c r="B43" s="15"/>
      <c r="C43" s="15"/>
      <c r="D43" s="20"/>
    </row>
    <row r="44" spans="1:27" s="1" customFormat="1" x14ac:dyDescent="0.2">
      <c r="A44" s="21"/>
      <c r="B44" s="15"/>
      <c r="C44" s="15"/>
      <c r="D44" s="20"/>
    </row>
  </sheetData>
  <mergeCells count="19">
    <mergeCell ref="H6:H8"/>
    <mergeCell ref="I7:I8"/>
    <mergeCell ref="K6:K8"/>
    <mergeCell ref="L7:L8"/>
    <mergeCell ref="R7:R8"/>
    <mergeCell ref="Q6:Q8"/>
    <mergeCell ref="N6:N8"/>
    <mergeCell ref="O7:O8"/>
    <mergeCell ref="A6:A8"/>
    <mergeCell ref="C7:C8"/>
    <mergeCell ref="B6:B8"/>
    <mergeCell ref="E6:E8"/>
    <mergeCell ref="D6:D7"/>
    <mergeCell ref="P6:P7"/>
    <mergeCell ref="G6:G7"/>
    <mergeCell ref="J6:J7"/>
    <mergeCell ref="M6:M7"/>
    <mergeCell ref="S6:S7"/>
    <mergeCell ref="F7:F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2018-03-23T12:31:42Z</dcterms:modified>
</cp:coreProperties>
</file>